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ailway" sheetId="2" state="visible" r:id="rId4"/>
    <sheet name="Railway sensitivity" sheetId="3" state="visible" r:id="rId5"/>
    <sheet name="Warehouse" sheetId="4" state="visible" r:id="rId6"/>
    <sheet name="Anaklia" sheetId="5" state="visible" r:id="rId7"/>
    <sheet name="Banks" sheetId="6" state="visible" r:id="rId8"/>
    <sheet name="Scenarios" sheetId="7" state="visible" r:id="rId9"/>
    <sheet name="Other calculation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<sst xmlns="http://schemas.openxmlformats.org/spreadsheetml/2006/main" count="114" uniqueCount="111">
  <si>
    <t xml:space="preserve">CIG: Georgia's Middle Corridor, Who captures the value? Data file</t>
  </si>
  <si>
    <t xml:space="preserve">Published 15 October 2026. Data cut-off 15 October 2026.</t>
  </si>
  <si>
    <t xml:space="preserve">Blue figures are inputs from the sources cited in the report (endnote numbers in brackets); black figures are formulas.</t>
  </si>
  <si>
    <t xml:space="preserve">Sheets: Railway (Exhibit 5), Railway sensitivity (Exhibit 6), Warehouse (Exhibit 10), Anaklia (Exhibit 8 and text), Banks (Exhibit 12), Scenarios (Exhibit 15), Other calculations.</t>
  </si>
  <si>
    <t xml:space="preserve">All forward figures are CIG scenarios or sensitivities, not forecasts.</t>
  </si>
  <si>
    <t xml:space="preserve">https://caucasusinvestmentgroup.com/research/georgia-middle-corridor/</t>
  </si>
  <si>
    <t xml:space="preserve">Exhibit 5. Georgian Railway: earnings, capital and cash conversion (GEL m unless stated)</t>
  </si>
  <si>
    <t xml:space="preserve">Source: Georgian Railway consolidated reports [18-22]; Geostat [4,23]; CIG calculations.</t>
  </si>
  <si>
    <t xml:space="preserve">Item</t>
  </si>
  <si>
    <t xml:space="preserve">2023</t>
  </si>
  <si>
    <t xml:space="preserve">2024</t>
  </si>
  <si>
    <t xml:space="preserve">2025</t>
  </si>
  <si>
    <t xml:space="preserve">Revenue</t>
  </si>
  <si>
    <t xml:space="preserve">Freight incl. handling</t>
  </si>
  <si>
    <t xml:space="preserve">Adjusted EBITDA</t>
  </si>
  <si>
    <t xml:space="preserve">Audited operating profit</t>
  </si>
  <si>
    <t xml:space="preserve">Net profit</t>
  </si>
  <si>
    <t xml:space="preserve">Operating cash flow</t>
  </si>
  <si>
    <t xml:space="preserve">Cash PPE capex</t>
  </si>
  <si>
    <t xml:space="preserve">Cash interest paid</t>
  </si>
  <si>
    <t xml:space="preserve">Cash and equivalents</t>
  </si>
  <si>
    <t xml:space="preserve">Borrowings</t>
  </si>
  <si>
    <t xml:space="preserve">Total equity</t>
  </si>
  <si>
    <t xml:space="preserve">Freight (million tonnes)</t>
  </si>
  <si>
    <t xml:space="preserve">Adjusted EBITDA margin (%)</t>
  </si>
  <si>
    <t xml:space="preserve">OCF less PPE capex</t>
  </si>
  <si>
    <t xml:space="preserve">Residual after capex and interest</t>
  </si>
  <si>
    <t xml:space="preserve">Net debt, cash-only deduction</t>
  </si>
  <si>
    <t xml:space="preserve">Net debt / adjusted EBITDA (x)</t>
  </si>
  <si>
    <t xml:space="preserve">Freight revenue / tonne (GEL)</t>
  </si>
  <si>
    <t xml:space="preserve">Adjusted EBITDA / tonne (GEL)</t>
  </si>
  <si>
    <t xml:space="preserve">PPE capex / tonne (GEL)</t>
  </si>
  <si>
    <t xml:space="preserve">Exhibit 6. CIG railway volume sensitivity</t>
  </si>
  <si>
    <t xml:space="preserve">Assumptions are CIG's: share of freight/handling revenue eligible, constant yield and FX, incremental EBITDA conversion, flat net debt.</t>
  </si>
  <si>
    <t xml:space="preserve">2025 freight incl. handling (GEL m)</t>
  </si>
  <si>
    <t xml:space="preserve">2025 adjusted EBITDA (GEL m)</t>
  </si>
  <si>
    <t xml:space="preserve">2025 net debt (GEL m)</t>
  </si>
  <si>
    <t xml:space="preserve">Eligible share of freight revenue</t>
  </si>
  <si>
    <t xml:space="preserve">Incremental EBITDA conversion</t>
  </si>
  <si>
    <t xml:space="preserve">Eligible volume growth</t>
  </si>
  <si>
    <t xml:space="preserve">Incremental revenue</t>
  </si>
  <si>
    <t xml:space="preserve">Incremental EBITDA</t>
  </si>
  <si>
    <t xml:space="preserve">Group EBITDA</t>
  </si>
  <si>
    <t xml:space="preserve">Net debt / EBITDA</t>
  </si>
  <si>
    <t xml:space="preserve">Exhibit 10. Illustrative unlevered NOI yield on warehouse cost (USD per sqm)</t>
  </si>
  <si>
    <t xml:space="preserve">Rent anchored to G&amp;T update [39] and TBC Capital [3]; occupancy, unrecovered cost and all-in cost are CIG assumptions, not market observations.</t>
  </si>
  <si>
    <t xml:space="preserve">Occupancy</t>
  </si>
  <si>
    <t xml:space="preserve">Unrecovered operating cost share</t>
  </si>
  <si>
    <t xml:space="preserve">Monthly rent / sqm</t>
  </si>
  <si>
    <t xml:space="preserve">USD 500</t>
  </si>
  <si>
    <t xml:space="preserve">USD 700</t>
  </si>
  <si>
    <t xml:space="preserve">USD 900</t>
  </si>
  <si>
    <t xml:space="preserve">All-in cost per sqm →</t>
  </si>
  <si>
    <t xml:space="preserve">Annual NOI at USD 6.30 (USD/sqm)</t>
  </si>
  <si>
    <t xml:space="preserve">Simple payback at USD 700 (years)</t>
  </si>
  <si>
    <t xml:space="preserve">Maximum all-in cost for a 10% yield (USD/sqm)</t>
  </si>
  <si>
    <t xml:space="preserve">Anaklia: capacity, national demand and required market share</t>
  </si>
  <si>
    <t xml:space="preserve">2025 national container throughput from Geostat [5]; phase-one capacity from Ministry of Economy [26]; growth and utilisation are CIG illustrations.</t>
  </si>
  <si>
    <t xml:space="preserve">2025 national container throughput (TEU)</t>
  </si>
  <si>
    <t xml:space="preserve">Phase-one capacity (TEU)</t>
  </si>
  <si>
    <t xml:space="preserve">Illustrative Anaklia volume (TEU, 50% utilisation)</t>
  </si>
  <si>
    <t xml:space="preserve">Phase-one capacity / 2025 national volume</t>
  </si>
  <si>
    <t xml:space="preserve">Case</t>
  </si>
  <si>
    <t xml:space="preserve">National container CAGR 2025-30</t>
  </si>
  <si>
    <t xml:space="preserve">2030 national throughput (TEU)</t>
  </si>
  <si>
    <t xml:space="preserve">Anaklia share of 2030 market</t>
  </si>
  <si>
    <t xml:space="preserve">Bear</t>
  </si>
  <si>
    <t xml:space="preserve">Base</t>
  </si>
  <si>
    <t xml:space="preserve">Bull</t>
  </si>
  <si>
    <t xml:space="preserve">Capital-return hurdle: 10% of USD 1.1bn (USD m)</t>
  </si>
  <si>
    <t xml:space="preserve">Free cash flow per TEU at 300,000 TEU (USD)</t>
  </si>
  <si>
    <t xml:space="preserve">Exhibit 12. Listed bank valuation (CIG calculations)</t>
  </si>
  <si>
    <t xml:space="preserve">Issuer RNS [42,43]; 14 Oct 2026 closing prices [46,47]; NBG GEL per GBP [45]. Annualised half-year figures are not trailing or forecast measures.</t>
  </si>
  <si>
    <t xml:space="preserve">NBG GEL per GBP, 14 Oct 2026</t>
  </si>
  <si>
    <t xml:space="preserve">Perpetual book growth (sensitivity)</t>
  </si>
  <si>
    <t xml:space="preserve">Metric</t>
  </si>
  <si>
    <t xml:space="preserve">TBCG</t>
  </si>
  <si>
    <t xml:space="preserve">BGEO</t>
  </si>
  <si>
    <t xml:space="preserve">Close (GBP)</t>
  </si>
  <si>
    <t xml:space="preserve">Basic EPS, six months (GEL)</t>
  </si>
  <si>
    <t xml:space="preserve">Book value per share, 30 June (GEL)</t>
  </si>
  <si>
    <t xml:space="preserve">Reported annualised ROE / ROAE</t>
  </si>
  <si>
    <t xml:space="preserve">Price (GEL)</t>
  </si>
  <si>
    <t xml:space="preserve">Price / book</t>
  </si>
  <si>
    <t xml:space="preserve">Price / 2x H1 EPS</t>
  </si>
  <si>
    <t xml:space="preserve">Implied cost of equity: g + (ROE - g) / (P/B)</t>
  </si>
  <si>
    <t xml:space="preserve">Exhibit 15. Georgia 2030: three conditional environments</t>
  </si>
  <si>
    <t xml:space="preserve">CIG scenarios, not forecasts or probabilities. Baselines: Geostat [4,5,9-11].</t>
  </si>
  <si>
    <t xml:space="preserve">2025 national containers (TEU)</t>
  </si>
  <si>
    <t xml:space="preserve">2025 rail freight (m tonnes)</t>
  </si>
  <si>
    <t xml:space="preserve">Container CAGR</t>
  </si>
  <si>
    <t xml:space="preserve">Rail CAGR</t>
  </si>
  <si>
    <t xml:space="preserve">Real GDP growth</t>
  </si>
  <si>
    <t xml:space="preserve">2030 containers (m TEU)</t>
  </si>
  <si>
    <t xml:space="preserve">2030 rail freight (m tonnes)</t>
  </si>
  <si>
    <t xml:space="preserve">2030 GDP index (2025 = 100)</t>
  </si>
  <si>
    <t xml:space="preserve">Other calculations cited in the text</t>
  </si>
  <si>
    <t xml:space="preserve">Inputs from Geostat [4,5,40] and TBC Capital [3].</t>
  </si>
  <si>
    <t xml:space="preserve">Rail freight 2018 (m tonnes)</t>
  </si>
  <si>
    <t xml:space="preserve">Rail freight 2025 (m tonnes)</t>
  </si>
  <si>
    <t xml:space="preserve">Rail CAGR 2018-25</t>
  </si>
  <si>
    <t xml:space="preserve">National containers 2020 (TEU)</t>
  </si>
  <si>
    <t xml:space="preserve">National containers 2025 (TEU)</t>
  </si>
  <si>
    <t xml:space="preserve">Container CAGR 2020-25</t>
  </si>
  <si>
    <t xml:space="preserve">Rail freight 2025 / 48m tonne capacity</t>
  </si>
  <si>
    <t xml:space="preserve">Goods exports 2025 (USD bn)</t>
  </si>
  <si>
    <t xml:space="preserve">Domestic exports 2025 (USD bn)</t>
  </si>
  <si>
    <t xml:space="preserve">Re-export share of exports</t>
  </si>
  <si>
    <t xml:space="preserve">Middle Corridor midpoint, 40ft (USD)</t>
  </si>
  <si>
    <t xml:space="preserve">Northern route midpoint, 40ft (USD)</t>
  </si>
  <si>
    <t xml:space="preserve">Middle Corridor premium to northern route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</si>
</sst>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"/>
    <numFmt numFmtId="166" formatCode="0%"/>
    <numFmt numFmtId="167" formatCode="0.0"/>
    <numFmt numFmtId="168" formatCode="0.00\x"/>
    <numFmt numFmtId="169" formatCode="&quot;USD &quot;0.00"/>
    <numFmt numFmtId="170" formatCode="0.0%"/>
    <numFmt numFmtId="171" formatCode="0.00"/>
    <numFmt numFmtId="172" formatCode="#,##0"/>
    <numFmt numFmtId="173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3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7352D"/>
        <bgColor rgb="FF00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35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2" t="s">
        <v>4</v>
      </c>
    </row>
    <row r="6" customFormat="false" ht="15" hidden="false" customHeight="false" outlineLevel="0" collapsed="false">
      <c r="A6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</cols>
  <sheetData>
    <row r="1" customFormat="false" ht="16.15" hidden="false" customHeight="false" outlineLevel="0" collapsed="false">
      <c r="A1" s="3" t="s">
        <v>6</v>
      </c>
      <c r="B1" s="4"/>
      <c r="C1" s="4"/>
      <c r="D1" s="4"/>
    </row>
    <row r="2" customFormat="false" ht="15" hidden="false" customHeight="false" outlineLevel="0" collapsed="false">
      <c r="A2" s="5" t="s">
        <v>7</v>
      </c>
      <c r="B2" s="4"/>
      <c r="C2" s="4"/>
      <c r="D2" s="4"/>
    </row>
    <row r="3" customFormat="false" ht="15" hidden="false" customHeight="false" outlineLevel="0" collapsed="false">
      <c r="A3" s="4"/>
      <c r="B3" s="4"/>
      <c r="C3" s="4"/>
      <c r="D3" s="4"/>
    </row>
    <row r="4" customFormat="false" ht="15" hidden="false" customHeight="false" outlineLevel="0" collapsed="false">
      <c r="A4" s="6" t="s">
        <v>8</v>
      </c>
      <c r="B4" s="6" t="s">
        <v>9</v>
      </c>
      <c r="C4" s="6" t="s">
        <v>10</v>
      </c>
      <c r="D4" s="6" t="s">
        <v>11</v>
      </c>
    </row>
    <row r="5" customFormat="false" ht="15" hidden="false" customHeight="false" outlineLevel="0" collapsed="false">
      <c r="A5" s="2" t="s">
        <v>12</v>
      </c>
      <c r="B5" s="7" t="n">
        <v>627.17</v>
      </c>
      <c r="C5" s="7" t="n">
        <v>648.34</v>
      </c>
      <c r="D5" s="7" t="n">
        <v>612.36</v>
      </c>
    </row>
    <row r="6" customFormat="false" ht="15" hidden="false" customHeight="false" outlineLevel="0" collapsed="false">
      <c r="A6" s="2" t="s">
        <v>13</v>
      </c>
      <c r="B6" s="7" t="n">
        <v>429.27</v>
      </c>
      <c r="C6" s="7" t="n">
        <v>449.69</v>
      </c>
      <c r="D6" s="7" t="n">
        <v>443.86</v>
      </c>
    </row>
    <row r="7" customFormat="false" ht="15" hidden="false" customHeight="false" outlineLevel="0" collapsed="false">
      <c r="A7" s="2" t="s">
        <v>14</v>
      </c>
      <c r="B7" s="7" t="n">
        <v>167.82</v>
      </c>
      <c r="C7" s="7" t="n">
        <v>220.58</v>
      </c>
      <c r="D7" s="7" t="n">
        <v>192.01</v>
      </c>
    </row>
    <row r="8" customFormat="false" ht="15" hidden="false" customHeight="false" outlineLevel="0" collapsed="false">
      <c r="A8" s="2" t="s">
        <v>15</v>
      </c>
      <c r="B8" s="7" t="n">
        <v>96.94</v>
      </c>
      <c r="C8" s="7" t="n">
        <v>141.74</v>
      </c>
      <c r="D8" s="7" t="n">
        <v>119.36</v>
      </c>
    </row>
    <row r="9" customFormat="false" ht="15" hidden="false" customHeight="false" outlineLevel="0" collapsed="false">
      <c r="A9" s="2" t="s">
        <v>16</v>
      </c>
      <c r="B9" s="7" t="n">
        <v>86.78</v>
      </c>
      <c r="C9" s="7" t="n">
        <v>68.18</v>
      </c>
      <c r="D9" s="7" t="n">
        <v>152.73</v>
      </c>
    </row>
    <row r="10" customFormat="false" ht="15" hidden="false" customHeight="false" outlineLevel="0" collapsed="false">
      <c r="A10" s="2" t="s">
        <v>17</v>
      </c>
      <c r="B10" s="7" t="n">
        <v>176.81</v>
      </c>
      <c r="C10" s="7" t="n">
        <v>218.83</v>
      </c>
      <c r="D10" s="7" t="n">
        <v>192.25</v>
      </c>
    </row>
    <row r="11" customFormat="false" ht="15" hidden="false" customHeight="false" outlineLevel="0" collapsed="false">
      <c r="A11" s="2" t="s">
        <v>18</v>
      </c>
      <c r="B11" s="7" t="n">
        <v>139.34</v>
      </c>
      <c r="C11" s="7" t="n">
        <v>150.72</v>
      </c>
      <c r="D11" s="7" t="n">
        <v>181.4</v>
      </c>
    </row>
    <row r="12" customFormat="false" ht="15" hidden="false" customHeight="false" outlineLevel="0" collapsed="false">
      <c r="A12" s="2" t="s">
        <v>19</v>
      </c>
      <c r="B12" s="7" t="n">
        <v>55.51</v>
      </c>
      <c r="C12" s="7" t="n">
        <v>58.9</v>
      </c>
      <c r="D12" s="7" t="n">
        <v>55.55</v>
      </c>
    </row>
    <row r="13" customFormat="false" ht="15" hidden="false" customHeight="false" outlineLevel="0" collapsed="false">
      <c r="A13" s="2" t="s">
        <v>20</v>
      </c>
      <c r="B13" s="7" t="n">
        <v>283.55</v>
      </c>
      <c r="C13" s="7" t="n">
        <v>318.3</v>
      </c>
      <c r="D13" s="7" t="n">
        <v>266.25</v>
      </c>
    </row>
    <row r="14" customFormat="false" ht="15" hidden="false" customHeight="false" outlineLevel="0" collapsed="false">
      <c r="A14" s="2" t="s">
        <v>21</v>
      </c>
      <c r="B14" s="7" t="n">
        <v>1376.14</v>
      </c>
      <c r="C14" s="7" t="n">
        <v>1425.68</v>
      </c>
      <c r="D14" s="7" t="n">
        <v>1358.59</v>
      </c>
    </row>
    <row r="15" customFormat="false" ht="15" hidden="false" customHeight="false" outlineLevel="0" collapsed="false">
      <c r="A15" s="2" t="s">
        <v>22</v>
      </c>
      <c r="B15" s="7" t="n">
        <v>868.04</v>
      </c>
      <c r="C15" s="7" t="n">
        <v>936.32</v>
      </c>
      <c r="D15" s="7" t="n">
        <v>1089.61</v>
      </c>
    </row>
    <row r="16" customFormat="false" ht="15" hidden="false" customHeight="false" outlineLevel="0" collapsed="false">
      <c r="A16" s="2" t="s">
        <v>23</v>
      </c>
      <c r="B16" s="7" t="n">
        <v>13.55</v>
      </c>
      <c r="C16" s="7" t="n">
        <v>13.67</v>
      </c>
      <c r="D16" s="7" t="n">
        <v>13.26</v>
      </c>
    </row>
    <row r="17" customFormat="false" ht="15" hidden="false" customHeight="false" outlineLevel="0" collapsed="false">
      <c r="A17" s="4"/>
      <c r="B17" s="4"/>
      <c r="C17" s="4"/>
      <c r="D17" s="4"/>
    </row>
    <row r="18" customFormat="false" ht="15" hidden="false" customHeight="false" outlineLevel="0" collapsed="false">
      <c r="A18" s="1" t="s">
        <v>24</v>
      </c>
      <c r="B18" s="8" t="n">
        <f aca="false">B7/B5*100</f>
        <v>26.7582951990688</v>
      </c>
      <c r="C18" s="8" t="n">
        <f aca="false">C7/C5*100</f>
        <v>34.0222722645526</v>
      </c>
      <c r="D18" s="8" t="n">
        <f aca="false">D7/D5*100</f>
        <v>31.3557384545039</v>
      </c>
    </row>
    <row r="19" customFormat="false" ht="15" hidden="false" customHeight="false" outlineLevel="0" collapsed="false">
      <c r="A19" s="1" t="s">
        <v>25</v>
      </c>
      <c r="B19" s="8" t="n">
        <f aca="false">B10-B11</f>
        <v>37.47</v>
      </c>
      <c r="C19" s="8" t="n">
        <f aca="false">C10-C11</f>
        <v>68.11</v>
      </c>
      <c r="D19" s="8" t="n">
        <f aca="false">D10-D11</f>
        <v>10.85</v>
      </c>
    </row>
    <row r="20" customFormat="false" ht="15" hidden="false" customHeight="false" outlineLevel="0" collapsed="false">
      <c r="A20" s="1" t="s">
        <v>26</v>
      </c>
      <c r="B20" s="8" t="n">
        <f aca="false">B10-B11-B12</f>
        <v>-18.04</v>
      </c>
      <c r="C20" s="8" t="n">
        <f aca="false">C10-C11-C12</f>
        <v>9.21000000000002</v>
      </c>
      <c r="D20" s="8" t="n">
        <f aca="false">D10-D11-D12</f>
        <v>-44.7</v>
      </c>
    </row>
    <row r="21" customFormat="false" ht="15" hidden="false" customHeight="false" outlineLevel="0" collapsed="false">
      <c r="A21" s="1" t="s">
        <v>27</v>
      </c>
      <c r="B21" s="8" t="n">
        <f aca="false">B14-B13</f>
        <v>1092.59</v>
      </c>
      <c r="C21" s="8" t="n">
        <f aca="false">C14-C13</f>
        <v>1107.38</v>
      </c>
      <c r="D21" s="8" t="n">
        <f aca="false">D14-D13</f>
        <v>1092.34</v>
      </c>
    </row>
    <row r="22" customFormat="false" ht="15" hidden="false" customHeight="false" outlineLevel="0" collapsed="false">
      <c r="A22" s="1" t="s">
        <v>28</v>
      </c>
      <c r="B22" s="8" t="n">
        <f aca="false">(B14-B13)/B7</f>
        <v>6.51048742700513</v>
      </c>
      <c r="C22" s="8" t="n">
        <f aca="false">(C14-C13)/C7</f>
        <v>5.02031009157675</v>
      </c>
      <c r="D22" s="8" t="n">
        <f aca="false">(D14-D13)/D7</f>
        <v>5.68897453257643</v>
      </c>
    </row>
    <row r="23" customFormat="false" ht="15" hidden="false" customHeight="false" outlineLevel="0" collapsed="false">
      <c r="A23" s="1" t="s">
        <v>29</v>
      </c>
      <c r="B23" s="8" t="n">
        <f aca="false">B6/B16</f>
        <v>31.680442804428</v>
      </c>
      <c r="C23" s="8" t="n">
        <f aca="false">C6/C16</f>
        <v>32.8961228968544</v>
      </c>
      <c r="D23" s="8" t="n">
        <f aca="false">D6/D16</f>
        <v>33.473604826546</v>
      </c>
    </row>
    <row r="24" customFormat="false" ht="15" hidden="false" customHeight="false" outlineLevel="0" collapsed="false">
      <c r="A24" s="1" t="s">
        <v>30</v>
      </c>
      <c r="B24" s="8" t="n">
        <f aca="false">B7/B16</f>
        <v>12.3852398523985</v>
      </c>
      <c r="C24" s="8" t="n">
        <f aca="false">C7/C16</f>
        <v>16.1360643745428</v>
      </c>
      <c r="D24" s="8" t="n">
        <f aca="false">D7/D16</f>
        <v>14.4803921568627</v>
      </c>
    </row>
    <row r="25" customFormat="false" ht="15" hidden="false" customHeight="false" outlineLevel="0" collapsed="false">
      <c r="A25" s="1" t="s">
        <v>31</v>
      </c>
      <c r="B25" s="8" t="n">
        <f aca="false">B11/B16</f>
        <v>10.2833948339483</v>
      </c>
      <c r="C25" s="8" t="n">
        <f aca="false">C11/C16</f>
        <v>11.0256035113387</v>
      </c>
      <c r="D25" s="8" t="n">
        <f aca="false">D11/D16</f>
        <v>13.6802413273002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</cols>
  <sheetData>
    <row r="1" customFormat="false" ht="16.15" hidden="false" customHeight="false" outlineLevel="0" collapsed="false">
      <c r="A1" s="3" t="s">
        <v>32</v>
      </c>
      <c r="B1" s="4"/>
      <c r="C1" s="4"/>
      <c r="D1" s="4"/>
      <c r="E1" s="4"/>
    </row>
    <row r="2" customFormat="false" ht="15" hidden="false" customHeight="false" outlineLevel="0" collapsed="false">
      <c r="A2" s="5" t="s">
        <v>33</v>
      </c>
      <c r="B2" s="4"/>
      <c r="C2" s="4"/>
      <c r="D2" s="4"/>
      <c r="E2" s="4"/>
    </row>
    <row r="3" customFormat="false" ht="15" hidden="false" customHeight="false" outlineLevel="0" collapsed="false">
      <c r="A3" s="4"/>
      <c r="B3" s="4"/>
      <c r="C3" s="4"/>
      <c r="D3" s="4"/>
      <c r="E3" s="4"/>
    </row>
    <row r="4" customFormat="false" ht="15" hidden="false" customHeight="false" outlineLevel="0" collapsed="false">
      <c r="A4" s="2" t="s">
        <v>34</v>
      </c>
      <c r="B4" s="9" t="n">
        <v>443.86</v>
      </c>
      <c r="C4" s="4"/>
      <c r="D4" s="4"/>
      <c r="E4" s="4"/>
    </row>
    <row r="5" customFormat="false" ht="15" hidden="false" customHeight="false" outlineLevel="0" collapsed="false">
      <c r="A5" s="2" t="s">
        <v>35</v>
      </c>
      <c r="B5" s="9" t="n">
        <v>192.01</v>
      </c>
      <c r="C5" s="4"/>
      <c r="D5" s="4"/>
      <c r="E5" s="4"/>
    </row>
    <row r="6" customFormat="false" ht="15" hidden="false" customHeight="false" outlineLevel="0" collapsed="false">
      <c r="A6" s="2" t="s">
        <v>36</v>
      </c>
      <c r="B6" s="9" t="n">
        <v>1092.33</v>
      </c>
      <c r="C6" s="4"/>
      <c r="D6" s="4"/>
      <c r="E6" s="4"/>
    </row>
    <row r="7" customFormat="false" ht="15" hidden="false" customHeight="false" outlineLevel="0" collapsed="false">
      <c r="A7" s="2" t="s">
        <v>37</v>
      </c>
      <c r="B7" s="9" t="n">
        <v>0.4</v>
      </c>
      <c r="C7" s="4"/>
      <c r="D7" s="4"/>
      <c r="E7" s="4"/>
    </row>
    <row r="8" customFormat="false" ht="15" hidden="false" customHeight="false" outlineLevel="0" collapsed="false">
      <c r="A8" s="2" t="s">
        <v>38</v>
      </c>
      <c r="B8" s="9" t="n">
        <v>0.5</v>
      </c>
      <c r="C8" s="4"/>
      <c r="D8" s="4"/>
      <c r="E8" s="4"/>
    </row>
    <row r="9" customFormat="false" ht="15" hidden="false" customHeight="false" outlineLevel="0" collapsed="false">
      <c r="A9" s="4"/>
      <c r="B9" s="4"/>
      <c r="C9" s="4"/>
      <c r="D9" s="4"/>
      <c r="E9" s="4"/>
    </row>
    <row r="10" customFormat="false" ht="15" hidden="false" customHeight="false" outlineLevel="0" collapsed="false">
      <c r="A10" s="6" t="s">
        <v>39</v>
      </c>
      <c r="B10" s="6" t="s">
        <v>40</v>
      </c>
      <c r="C10" s="6" t="s">
        <v>41</v>
      </c>
      <c r="D10" s="6" t="s">
        <v>42</v>
      </c>
      <c r="E10" s="6" t="s">
        <v>43</v>
      </c>
    </row>
    <row r="11" customFormat="false" ht="15" hidden="false" customHeight="false" outlineLevel="0" collapsed="false">
      <c r="A11" s="10" t="n">
        <v>0.05</v>
      </c>
      <c r="B11" s="11" t="n">
        <f aca="false">$B$4*$B$7*A11</f>
        <v>8.8772</v>
      </c>
      <c r="C11" s="11" t="n">
        <f aca="false">B11*$B$8</f>
        <v>4.4386</v>
      </c>
      <c r="D11" s="11" t="n">
        <f aca="false">$B$5+C11</f>
        <v>196.4486</v>
      </c>
      <c r="E11" s="12" t="n">
        <f aca="false">$B$6/D11</f>
        <v>5.56038577012002</v>
      </c>
    </row>
    <row r="12" customFormat="false" ht="15" hidden="false" customHeight="false" outlineLevel="0" collapsed="false">
      <c r="A12" s="10" t="n">
        <v>0.1</v>
      </c>
      <c r="B12" s="11" t="n">
        <f aca="false">$B$4*$B$7*A12</f>
        <v>17.7544</v>
      </c>
      <c r="C12" s="11" t="n">
        <f aca="false">B12*$B$8</f>
        <v>8.8772</v>
      </c>
      <c r="D12" s="11" t="n">
        <f aca="false">$B$5+C12</f>
        <v>200.8872</v>
      </c>
      <c r="E12" s="12" t="n">
        <f aca="false">$B$6/D12</f>
        <v>5.43752912082004</v>
      </c>
    </row>
    <row r="13" customFormat="false" ht="15" hidden="false" customHeight="false" outlineLevel="0" collapsed="false">
      <c r="A13" s="10" t="n">
        <v>0.15</v>
      </c>
      <c r="B13" s="11" t="n">
        <f aca="false">$B$4*$B$7*A13</f>
        <v>26.6316</v>
      </c>
      <c r="C13" s="11" t="n">
        <f aca="false">B13*$B$8</f>
        <v>13.3158</v>
      </c>
      <c r="D13" s="11" t="n">
        <f aca="false">$B$5+C13</f>
        <v>205.3258</v>
      </c>
      <c r="E13" s="12" t="n">
        <f aca="false">$B$6/D13</f>
        <v>5.31998414227535</v>
      </c>
    </row>
    <row r="14" customFormat="false" ht="15" hidden="false" customHeight="false" outlineLevel="0" collapsed="false">
      <c r="A14" s="10" t="n">
        <v>0.2</v>
      </c>
      <c r="B14" s="11" t="n">
        <f aca="false">$B$4*$B$7*A14</f>
        <v>35.5088</v>
      </c>
      <c r="C14" s="11" t="n">
        <f aca="false">B14*$B$8</f>
        <v>17.7544</v>
      </c>
      <c r="D14" s="11" t="n">
        <f aca="false">$B$5+C14</f>
        <v>209.7644</v>
      </c>
      <c r="E14" s="12" t="n">
        <f aca="false">$B$6/D14</f>
        <v>5.20741365074341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</cols>
  <sheetData>
    <row r="1" customFormat="false" ht="16.15" hidden="false" customHeight="false" outlineLevel="0" collapsed="false">
      <c r="A1" s="3" t="s">
        <v>44</v>
      </c>
      <c r="B1" s="4"/>
      <c r="C1" s="4"/>
      <c r="D1" s="4"/>
    </row>
    <row r="2" customFormat="false" ht="15" hidden="false" customHeight="false" outlineLevel="0" collapsed="false">
      <c r="A2" s="5" t="s">
        <v>45</v>
      </c>
      <c r="B2" s="4"/>
      <c r="C2" s="4"/>
      <c r="D2" s="4"/>
    </row>
    <row r="3" customFormat="false" ht="15" hidden="false" customHeight="false" outlineLevel="0" collapsed="false">
      <c r="A3" s="4"/>
      <c r="B3" s="4"/>
      <c r="C3" s="4"/>
      <c r="D3" s="4"/>
    </row>
    <row r="4" customFormat="false" ht="15" hidden="false" customHeight="false" outlineLevel="0" collapsed="false">
      <c r="A4" s="4" t="s">
        <v>46</v>
      </c>
      <c r="B4" s="9" t="n">
        <v>0.85</v>
      </c>
      <c r="C4" s="4"/>
      <c r="D4" s="4"/>
    </row>
    <row r="5" customFormat="false" ht="15" hidden="false" customHeight="false" outlineLevel="0" collapsed="false">
      <c r="A5" s="4" t="s">
        <v>47</v>
      </c>
      <c r="B5" s="9" t="n">
        <v>0.2</v>
      </c>
      <c r="C5" s="4"/>
      <c r="D5" s="4"/>
    </row>
    <row r="6" customFormat="false" ht="15" hidden="false" customHeight="false" outlineLevel="0" collapsed="false">
      <c r="A6" s="4"/>
      <c r="B6" s="4"/>
      <c r="C6" s="4"/>
      <c r="D6" s="4"/>
    </row>
    <row r="7" customFormat="false" ht="15" hidden="false" customHeight="false" outlineLevel="0" collapsed="false">
      <c r="A7" s="6" t="s">
        <v>48</v>
      </c>
      <c r="B7" s="6" t="s">
        <v>49</v>
      </c>
      <c r="C7" s="6" t="s">
        <v>50</v>
      </c>
      <c r="D7" s="6" t="s">
        <v>51</v>
      </c>
    </row>
    <row r="8" customFormat="false" ht="15" hidden="false" customHeight="false" outlineLevel="0" collapsed="false">
      <c r="A8" s="13" t="s">
        <v>52</v>
      </c>
      <c r="B8" s="9" t="n">
        <v>500</v>
      </c>
      <c r="C8" s="9" t="n">
        <v>700</v>
      </c>
      <c r="D8" s="9" t="n">
        <v>900</v>
      </c>
    </row>
    <row r="9" customFormat="false" ht="15" hidden="false" customHeight="false" outlineLevel="0" collapsed="false">
      <c r="A9" s="14" t="n">
        <v>5</v>
      </c>
      <c r="B9" s="15" t="n">
        <f aca="false">$A9*12*$B$4*(1-$B$5)/B$8</f>
        <v>0.0816</v>
      </c>
      <c r="C9" s="15" t="n">
        <f aca="false">$A9*12*$B$4*(1-$B$5)/C$8</f>
        <v>0.0582857142857143</v>
      </c>
      <c r="D9" s="15" t="n">
        <f aca="false">$A9*12*$B$4*(1-$B$5)/D$8</f>
        <v>0.0453333333333333</v>
      </c>
    </row>
    <row r="10" customFormat="false" ht="15" hidden="false" customHeight="false" outlineLevel="0" collapsed="false">
      <c r="A10" s="14" t="n">
        <v>6.3</v>
      </c>
      <c r="B10" s="15" t="n">
        <f aca="false">$A10*12*$B$4*(1-$B$5)/B$8</f>
        <v>0.102816</v>
      </c>
      <c r="C10" s="15" t="n">
        <f aca="false">$A10*12*$B$4*(1-$B$5)/C$8</f>
        <v>0.07344</v>
      </c>
      <c r="D10" s="15" t="n">
        <f aca="false">$A10*12*$B$4*(1-$B$5)/D$8</f>
        <v>0.05712</v>
      </c>
    </row>
    <row r="11" customFormat="false" ht="15" hidden="false" customHeight="false" outlineLevel="0" collapsed="false">
      <c r="A11" s="14" t="n">
        <v>7.5</v>
      </c>
      <c r="B11" s="15" t="n">
        <f aca="false">$A11*12*$B$4*(1-$B$5)/B$8</f>
        <v>0.1224</v>
      </c>
      <c r="C11" s="15" t="n">
        <f aca="false">$A11*12*$B$4*(1-$B$5)/C$8</f>
        <v>0.0874285714285714</v>
      </c>
      <c r="D11" s="15" t="n">
        <f aca="false">$A11*12*$B$4*(1-$B$5)/D$8</f>
        <v>0.068</v>
      </c>
    </row>
    <row r="12" customFormat="false" ht="15" hidden="false" customHeight="false" outlineLevel="0" collapsed="false">
      <c r="A12" s="4"/>
      <c r="B12" s="4"/>
      <c r="C12" s="4"/>
      <c r="D12" s="4"/>
    </row>
    <row r="13" customFormat="false" ht="15" hidden="false" customHeight="false" outlineLevel="0" collapsed="false">
      <c r="A13" s="4" t="s">
        <v>53</v>
      </c>
      <c r="B13" s="16" t="n">
        <f aca="false">A10*12*B4*(1-B5)</f>
        <v>51.408</v>
      </c>
      <c r="C13" s="4"/>
      <c r="D13" s="4"/>
    </row>
    <row r="14" customFormat="false" ht="15" hidden="false" customHeight="false" outlineLevel="0" collapsed="false">
      <c r="A14" s="4" t="s">
        <v>54</v>
      </c>
      <c r="B14" s="16" t="n">
        <f aca="false">C8/B13</f>
        <v>13.6165577342048</v>
      </c>
      <c r="C14" s="4"/>
      <c r="D14" s="4"/>
    </row>
    <row r="15" customFormat="false" ht="15" hidden="false" customHeight="false" outlineLevel="0" collapsed="false">
      <c r="A15" s="4" t="s">
        <v>55</v>
      </c>
      <c r="B15" s="16" t="n">
        <f aca="false">B13/0.1</f>
        <v>514.08</v>
      </c>
      <c r="C15" s="4"/>
      <c r="D15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24"/>
  </cols>
  <sheetData>
    <row r="1" customFormat="false" ht="16.15" hidden="false" customHeight="false" outlineLevel="0" collapsed="false">
      <c r="A1" s="3" t="s">
        <v>56</v>
      </c>
      <c r="B1" s="4"/>
      <c r="C1" s="4"/>
      <c r="D1" s="4"/>
    </row>
    <row r="2" customFormat="false" ht="15" hidden="false" customHeight="false" outlineLevel="0" collapsed="false">
      <c r="A2" s="5" t="s">
        <v>57</v>
      </c>
      <c r="B2" s="4"/>
      <c r="C2" s="4"/>
      <c r="D2" s="4"/>
    </row>
    <row r="3" customFormat="false" ht="15" hidden="false" customHeight="false" outlineLevel="0" collapsed="false">
      <c r="A3" s="4"/>
      <c r="B3" s="4"/>
      <c r="C3" s="4"/>
      <c r="D3" s="4"/>
    </row>
    <row r="4" customFormat="false" ht="15" hidden="false" customHeight="false" outlineLevel="0" collapsed="false">
      <c r="A4" s="4" t="s">
        <v>58</v>
      </c>
      <c r="B4" s="9" t="n">
        <v>745483</v>
      </c>
      <c r="C4" s="4"/>
      <c r="D4" s="4"/>
    </row>
    <row r="5" customFormat="false" ht="15" hidden="false" customHeight="false" outlineLevel="0" collapsed="false">
      <c r="A5" s="4" t="s">
        <v>59</v>
      </c>
      <c r="B5" s="9" t="n">
        <v>600000</v>
      </c>
      <c r="C5" s="4"/>
      <c r="D5" s="4"/>
    </row>
    <row r="6" customFormat="false" ht="15" hidden="false" customHeight="false" outlineLevel="0" collapsed="false">
      <c r="A6" s="4" t="s">
        <v>60</v>
      </c>
      <c r="B6" s="4" t="n">
        <f aca="false">B5*0.5</f>
        <v>300000</v>
      </c>
      <c r="C6" s="4"/>
      <c r="D6" s="4"/>
    </row>
    <row r="7" customFormat="false" ht="15" hidden="false" customHeight="false" outlineLevel="0" collapsed="false">
      <c r="A7" s="4" t="s">
        <v>61</v>
      </c>
      <c r="B7" s="17" t="n">
        <f aca="false">B5/B4</f>
        <v>0.804847327169097</v>
      </c>
      <c r="C7" s="4"/>
      <c r="D7" s="4"/>
    </row>
    <row r="8" customFormat="false" ht="15" hidden="false" customHeight="false" outlineLevel="0" collapsed="false">
      <c r="A8" s="4"/>
      <c r="B8" s="4"/>
      <c r="C8" s="4"/>
      <c r="D8" s="4"/>
    </row>
    <row r="9" customFormat="false" ht="15" hidden="false" customHeight="false" outlineLevel="0" collapsed="false">
      <c r="A9" s="6" t="s">
        <v>62</v>
      </c>
      <c r="B9" s="6" t="s">
        <v>63</v>
      </c>
      <c r="C9" s="6" t="s">
        <v>64</v>
      </c>
      <c r="D9" s="6" t="s">
        <v>65</v>
      </c>
    </row>
    <row r="10" customFormat="false" ht="15" hidden="false" customHeight="false" outlineLevel="0" collapsed="false">
      <c r="A10" s="4" t="s">
        <v>66</v>
      </c>
      <c r="B10" s="10" t="n">
        <v>0.03</v>
      </c>
      <c r="C10" s="18" t="n">
        <f aca="false">$B$4*(1+B10)^5</f>
        <v>864219.114731387</v>
      </c>
      <c r="D10" s="17" t="n">
        <f aca="false">$B$6/C10</f>
        <v>0.347134187252089</v>
      </c>
    </row>
    <row r="11" customFormat="false" ht="15" hidden="false" customHeight="false" outlineLevel="0" collapsed="false">
      <c r="A11" s="4" t="s">
        <v>67</v>
      </c>
      <c r="B11" s="10" t="n">
        <v>0.07</v>
      </c>
      <c r="C11" s="18" t="n">
        <f aca="false">$B$4*(1+B11)^5</f>
        <v>1045578.47185743</v>
      </c>
      <c r="D11" s="17" t="n">
        <f aca="false">$B$6/C11</f>
        <v>0.286922510432968</v>
      </c>
    </row>
    <row r="12" customFormat="false" ht="15" hidden="false" customHeight="false" outlineLevel="0" collapsed="false">
      <c r="A12" s="4" t="s">
        <v>68</v>
      </c>
      <c r="B12" s="10" t="n">
        <v>0.12</v>
      </c>
      <c r="C12" s="18" t="n">
        <f aca="false">$B$4*(1+B12)^5</f>
        <v>1313795.76501699</v>
      </c>
      <c r="D12" s="17" t="n">
        <f aca="false">$B$6/C12</f>
        <v>0.22834599409454</v>
      </c>
    </row>
    <row r="13" customFormat="false" ht="15" hidden="false" customHeight="false" outlineLevel="0" collapsed="false">
      <c r="A13" s="4"/>
      <c r="B13" s="4"/>
      <c r="C13" s="4"/>
      <c r="D13" s="4"/>
    </row>
    <row r="14" customFormat="false" ht="15" hidden="false" customHeight="false" outlineLevel="0" collapsed="false">
      <c r="A14" s="4" t="s">
        <v>69</v>
      </c>
      <c r="B14" s="4" t="n">
        <f aca="false">1100*0.1</f>
        <v>110</v>
      </c>
      <c r="C14" s="4"/>
      <c r="D14" s="4"/>
    </row>
    <row r="15" customFormat="false" ht="15" hidden="false" customHeight="false" outlineLevel="0" collapsed="false">
      <c r="A15" s="4" t="s">
        <v>70</v>
      </c>
      <c r="B15" s="4" t="n">
        <f aca="false">B14*1000000/B6</f>
        <v>366.666666666667</v>
      </c>
      <c r="C15" s="4"/>
      <c r="D15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</cols>
  <sheetData>
    <row r="1" customFormat="false" ht="16.15" hidden="false" customHeight="false" outlineLevel="0" collapsed="false">
      <c r="A1" s="3" t="s">
        <v>71</v>
      </c>
      <c r="B1" s="4"/>
      <c r="C1" s="4"/>
    </row>
    <row r="2" customFormat="false" ht="15" hidden="false" customHeight="false" outlineLevel="0" collapsed="false">
      <c r="A2" s="5" t="s">
        <v>72</v>
      </c>
      <c r="B2" s="4"/>
      <c r="C2" s="4"/>
    </row>
    <row r="3" customFormat="false" ht="15" hidden="false" customHeight="false" outlineLevel="0" collapsed="false">
      <c r="A3" s="4"/>
      <c r="B3" s="4"/>
      <c r="C3" s="4"/>
    </row>
    <row r="4" customFormat="false" ht="15" hidden="false" customHeight="false" outlineLevel="0" collapsed="false">
      <c r="A4" s="4" t="s">
        <v>73</v>
      </c>
      <c r="B4" s="9" t="n">
        <v>3.4415</v>
      </c>
      <c r="C4" s="4"/>
    </row>
    <row r="5" customFormat="false" ht="15" hidden="false" customHeight="false" outlineLevel="0" collapsed="false">
      <c r="A5" s="4" t="s">
        <v>74</v>
      </c>
      <c r="B5" s="9" t="n">
        <v>0.04</v>
      </c>
      <c r="C5" s="4"/>
    </row>
    <row r="6" customFormat="false" ht="15" hidden="false" customHeight="false" outlineLevel="0" collapsed="false">
      <c r="A6" s="4"/>
      <c r="B6" s="4"/>
      <c r="C6" s="4"/>
    </row>
    <row r="7" customFormat="false" ht="15" hidden="false" customHeight="false" outlineLevel="0" collapsed="false">
      <c r="A7" s="6" t="s">
        <v>75</v>
      </c>
      <c r="B7" s="6" t="s">
        <v>76</v>
      </c>
      <c r="C7" s="6" t="s">
        <v>77</v>
      </c>
    </row>
    <row r="8" customFormat="false" ht="15" hidden="false" customHeight="false" outlineLevel="0" collapsed="false">
      <c r="A8" s="4" t="s">
        <v>78</v>
      </c>
      <c r="B8" s="9" t="n">
        <v>49.4</v>
      </c>
      <c r="C8" s="9" t="n">
        <v>124.9</v>
      </c>
    </row>
    <row r="9" customFormat="false" ht="15" hidden="false" customHeight="false" outlineLevel="0" collapsed="false">
      <c r="A9" s="4" t="s">
        <v>79</v>
      </c>
      <c r="B9" s="9" t="n">
        <v>13.5</v>
      </c>
      <c r="C9" s="9" t="n">
        <v>28.24</v>
      </c>
    </row>
    <row r="10" customFormat="false" ht="15" hidden="false" customHeight="false" outlineLevel="0" collapsed="false">
      <c r="A10" s="4" t="s">
        <v>80</v>
      </c>
      <c r="B10" s="9" t="n">
        <v>121.46</v>
      </c>
      <c r="C10" s="9" t="n">
        <v>220.69</v>
      </c>
    </row>
    <row r="11" customFormat="false" ht="15" hidden="false" customHeight="false" outlineLevel="0" collapsed="false">
      <c r="A11" s="4" t="s">
        <v>81</v>
      </c>
      <c r="B11" s="19" t="n">
        <v>0.235</v>
      </c>
      <c r="C11" s="19" t="n">
        <v>0.272</v>
      </c>
    </row>
    <row r="12" customFormat="false" ht="15" hidden="false" customHeight="false" outlineLevel="0" collapsed="false">
      <c r="A12" s="1" t="s">
        <v>82</v>
      </c>
      <c r="B12" s="16" t="n">
        <f aca="false">B8*$B$4</f>
        <v>170.0101</v>
      </c>
      <c r="C12" s="16" t="n">
        <f aca="false">C8*$B$4</f>
        <v>429.84335</v>
      </c>
    </row>
    <row r="13" customFormat="false" ht="15" hidden="false" customHeight="false" outlineLevel="0" collapsed="false">
      <c r="A13" s="1" t="s">
        <v>83</v>
      </c>
      <c r="B13" s="20" t="n">
        <f aca="false">B12/B10</f>
        <v>1.39972089576815</v>
      </c>
      <c r="C13" s="20" t="n">
        <f aca="false">C12/C10</f>
        <v>1.94772463636776</v>
      </c>
    </row>
    <row r="14" customFormat="false" ht="15" hidden="false" customHeight="false" outlineLevel="0" collapsed="false">
      <c r="A14" s="1" t="s">
        <v>84</v>
      </c>
      <c r="B14" s="20" t="n">
        <f aca="false">B12/(B9*2)</f>
        <v>6.29667037037037</v>
      </c>
      <c r="C14" s="20" t="n">
        <f aca="false">C12/(C9*2)</f>
        <v>7.61054089943343</v>
      </c>
    </row>
    <row r="15" customFormat="false" ht="15" hidden="false" customHeight="false" outlineLevel="0" collapsed="false">
      <c r="A15" s="1" t="s">
        <v>85</v>
      </c>
      <c r="B15" s="17" t="n">
        <f aca="false">$B$5+(B11-$B$5)/B13</f>
        <v>0.179313487845722</v>
      </c>
      <c r="C15" s="17" t="n">
        <f aca="false">$B$5+(C11-$B$5)/C13</f>
        <v>0.159113346757604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6.15" hidden="false" customHeight="false" outlineLevel="0" collapsed="false">
      <c r="A1" s="3" t="s">
        <v>86</v>
      </c>
      <c r="B1" s="4"/>
      <c r="C1" s="4"/>
      <c r="D1" s="4"/>
    </row>
    <row r="2" customFormat="false" ht="15" hidden="false" customHeight="false" outlineLevel="0" collapsed="false">
      <c r="A2" s="5" t="s">
        <v>87</v>
      </c>
      <c r="B2" s="4"/>
      <c r="C2" s="4"/>
      <c r="D2" s="4"/>
    </row>
    <row r="3" customFormat="false" ht="15" hidden="false" customHeight="false" outlineLevel="0" collapsed="false">
      <c r="A3" s="4"/>
      <c r="B3" s="4"/>
      <c r="C3" s="4"/>
      <c r="D3" s="4"/>
    </row>
    <row r="4" customFormat="false" ht="15" hidden="false" customHeight="false" outlineLevel="0" collapsed="false">
      <c r="A4" s="4" t="s">
        <v>88</v>
      </c>
      <c r="B4" s="9" t="n">
        <v>745483</v>
      </c>
      <c r="C4" s="4"/>
      <c r="D4" s="4"/>
    </row>
    <row r="5" customFormat="false" ht="15" hidden="false" customHeight="false" outlineLevel="0" collapsed="false">
      <c r="A5" s="4" t="s">
        <v>89</v>
      </c>
      <c r="B5" s="9" t="n">
        <v>13.258</v>
      </c>
      <c r="C5" s="4"/>
      <c r="D5" s="4"/>
    </row>
    <row r="6" customFormat="false" ht="15" hidden="false" customHeight="false" outlineLevel="0" collapsed="false">
      <c r="A6" s="4"/>
      <c r="B6" s="4"/>
      <c r="C6" s="4"/>
      <c r="D6" s="4"/>
    </row>
    <row r="7" customFormat="false" ht="15" hidden="false" customHeight="false" outlineLevel="0" collapsed="false">
      <c r="A7" s="6"/>
      <c r="B7" s="6" t="s">
        <v>66</v>
      </c>
      <c r="C7" s="6" t="s">
        <v>67</v>
      </c>
      <c r="D7" s="6" t="s">
        <v>68</v>
      </c>
    </row>
    <row r="8" customFormat="false" ht="15" hidden="false" customHeight="false" outlineLevel="0" collapsed="false">
      <c r="A8" s="4" t="s">
        <v>90</v>
      </c>
      <c r="B8" s="10" t="n">
        <v>0.03</v>
      </c>
      <c r="C8" s="10" t="n">
        <v>0.07</v>
      </c>
      <c r="D8" s="10" t="n">
        <v>0.12</v>
      </c>
    </row>
    <row r="9" customFormat="false" ht="15" hidden="false" customHeight="false" outlineLevel="0" collapsed="false">
      <c r="A9" s="4" t="s">
        <v>91</v>
      </c>
      <c r="B9" s="10" t="n">
        <v>-0.02</v>
      </c>
      <c r="C9" s="10" t="n">
        <v>0.04</v>
      </c>
      <c r="D9" s="10" t="n">
        <v>0.08</v>
      </c>
    </row>
    <row r="10" customFormat="false" ht="15" hidden="false" customHeight="false" outlineLevel="0" collapsed="false">
      <c r="A10" s="4" t="s">
        <v>92</v>
      </c>
      <c r="B10" s="10" t="n">
        <v>0.03</v>
      </c>
      <c r="C10" s="10" t="n">
        <v>0.05</v>
      </c>
      <c r="D10" s="10" t="n">
        <v>0.07</v>
      </c>
    </row>
    <row r="11" customFormat="false" ht="15" hidden="false" customHeight="false" outlineLevel="0" collapsed="false">
      <c r="A11" s="1" t="s">
        <v>93</v>
      </c>
      <c r="B11" s="16" t="n">
        <f aca="false">$B$4*(1+B8)^5/1000000</f>
        <v>0.864219114731387</v>
      </c>
      <c r="C11" s="16" t="n">
        <f aca="false">$B$4*(1+C8)^5/1000000</f>
        <v>1.04557847185743</v>
      </c>
      <c r="D11" s="16" t="n">
        <f aca="false">$B$4*(1+D8)^5/1000000</f>
        <v>1.31379576501699</v>
      </c>
    </row>
    <row r="12" customFormat="false" ht="15" hidden="false" customHeight="false" outlineLevel="0" collapsed="false">
      <c r="A12" s="1" t="s">
        <v>94</v>
      </c>
      <c r="B12" s="21" t="n">
        <f aca="false">$B$5*(1+B9)^5</f>
        <v>11.9841819239744</v>
      </c>
      <c r="C12" s="21" t="n">
        <f aca="false">$B$5*(1+C9)^5</f>
        <v>16.1303841800192</v>
      </c>
      <c r="D12" s="21" t="n">
        <f aca="false">$B$5*(1+D9)^5</f>
        <v>19.4803516422144</v>
      </c>
    </row>
    <row r="13" customFormat="false" ht="15" hidden="false" customHeight="false" outlineLevel="0" collapsed="false">
      <c r="A13" s="1" t="s">
        <v>95</v>
      </c>
      <c r="B13" s="22" t="n">
        <f aca="false">100*(1+B10)^5</f>
        <v>115.92740743</v>
      </c>
      <c r="C13" s="22" t="n">
        <f aca="false">100*(1+C10)^5</f>
        <v>127.62815625</v>
      </c>
      <c r="D13" s="22" t="n">
        <f aca="false">100*(1+D10)^5</f>
        <v>140.25517307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</cols>
  <sheetData>
    <row r="1" customFormat="false" ht="16.15" hidden="false" customHeight="false" outlineLevel="0" collapsed="false">
      <c r="A1" s="3" t="s">
        <v>96</v>
      </c>
      <c r="B1" s="4"/>
    </row>
    <row r="2" customFormat="false" ht="15" hidden="false" customHeight="false" outlineLevel="0" collapsed="false">
      <c r="A2" s="5" t="s">
        <v>97</v>
      </c>
      <c r="B2" s="4"/>
    </row>
    <row r="3" customFormat="false" ht="15" hidden="false" customHeight="false" outlineLevel="0" collapsed="false">
      <c r="A3" s="4"/>
      <c r="B3" s="4"/>
    </row>
    <row r="4" customFormat="false" ht="15" hidden="false" customHeight="false" outlineLevel="0" collapsed="false">
      <c r="A4" s="4" t="s">
        <v>98</v>
      </c>
      <c r="B4" s="9" t="n">
        <v>10.005</v>
      </c>
    </row>
    <row r="5" customFormat="false" ht="15" hidden="false" customHeight="false" outlineLevel="0" collapsed="false">
      <c r="A5" s="4" t="s">
        <v>99</v>
      </c>
      <c r="B5" s="9" t="n">
        <v>13.258</v>
      </c>
    </row>
    <row r="6" customFormat="false" ht="15" hidden="false" customHeight="false" outlineLevel="0" collapsed="false">
      <c r="A6" s="4" t="s">
        <v>100</v>
      </c>
      <c r="B6" s="17" t="n">
        <f aca="false">(B5/B4)^(1/7)-1</f>
        <v>0.041036234621487</v>
      </c>
    </row>
    <row r="7" customFormat="false" ht="15" hidden="false" customHeight="false" outlineLevel="0" collapsed="false">
      <c r="A7" s="4" t="s">
        <v>101</v>
      </c>
      <c r="B7" s="9" t="n">
        <v>483635</v>
      </c>
    </row>
    <row r="8" customFormat="false" ht="15" hidden="false" customHeight="false" outlineLevel="0" collapsed="false">
      <c r="A8" s="4" t="s">
        <v>102</v>
      </c>
      <c r="B8" s="9" t="n">
        <v>745483</v>
      </c>
    </row>
    <row r="9" customFormat="false" ht="15" hidden="false" customHeight="false" outlineLevel="0" collapsed="false">
      <c r="A9" s="4" t="s">
        <v>103</v>
      </c>
      <c r="B9" s="17" t="n">
        <f aca="false">(B8/B7)^(1/5)-1</f>
        <v>0.0903953840132996</v>
      </c>
    </row>
    <row r="10" customFormat="false" ht="15" hidden="false" customHeight="false" outlineLevel="0" collapsed="false">
      <c r="A10" s="4" t="s">
        <v>104</v>
      </c>
      <c r="B10" s="17" t="n">
        <f aca="false">B5/48</f>
        <v>0.276208333333333</v>
      </c>
    </row>
    <row r="11" customFormat="false" ht="15" hidden="false" customHeight="false" outlineLevel="0" collapsed="false">
      <c r="A11" s="4" t="s">
        <v>105</v>
      </c>
      <c r="B11" s="9" t="n">
        <v>7.288</v>
      </c>
    </row>
    <row r="12" customFormat="false" ht="15" hidden="false" customHeight="false" outlineLevel="0" collapsed="false">
      <c r="A12" s="4" t="s">
        <v>106</v>
      </c>
      <c r="B12" s="9" t="n">
        <v>3.36</v>
      </c>
    </row>
    <row r="13" customFormat="false" ht="15" hidden="false" customHeight="false" outlineLevel="0" collapsed="false">
      <c r="A13" s="4" t="s">
        <v>107</v>
      </c>
      <c r="B13" s="17" t="n">
        <f aca="false">(B11-B12)/B11</f>
        <v>0.538968166849616</v>
      </c>
    </row>
    <row r="14" customFormat="false" ht="15" hidden="false" customHeight="false" outlineLevel="0" collapsed="false">
      <c r="A14" s="4" t="s">
        <v>108</v>
      </c>
      <c r="B14" s="18" t="n">
        <f aca="false">(4500+6000)/2</f>
        <v>5250</v>
      </c>
    </row>
    <row r="15" customFormat="false" ht="15" hidden="false" customHeight="false" outlineLevel="0" collapsed="false">
      <c r="A15" s="4" t="s">
        <v>109</v>
      </c>
      <c r="B15" s="18" t="n">
        <f aca="false">(2500+3100)/2</f>
        <v>2800</v>
      </c>
    </row>
    <row r="16" customFormat="false" ht="15" hidden="false" customHeight="false" outlineLevel="0" collapsed="false">
      <c r="A16" s="4" t="s">
        <v>110</v>
      </c>
      <c r="B16" s="17" t="n">
        <f aca="false">B14/B15-1</f>
        <v>0.875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2026-10-15T11:14:24Z</dcterms:created>
  <dc:creator>openpyxl</dc:creator>
  <dc:description/>
  <dc:language>en-US</dc:language>
  <cp:lastModifiedBy/>
  <dcterms:modified xsi:type="dcterms:W3CDTF">2026-10-15T11:14:24Z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